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35" windowHeight="10740"/>
  </bookViews>
  <sheets>
    <sheet name="Sheet1" sheetId="1" r:id="rId1"/>
    <sheet name="Sheet2" sheetId="2" r:id="rId2"/>
    <sheet name="Sheet3" sheetId="3" r:id="rId3"/>
  </sheets>
  <calcPr calcId="125725" iterate="1"/>
</workbook>
</file>

<file path=xl/calcChain.xml><?xml version="1.0" encoding="utf-8"?>
<calcChain xmlns="http://schemas.openxmlformats.org/spreadsheetml/2006/main">
  <c r="G46" i="1"/>
  <c r="C17"/>
  <c r="E73"/>
  <c r="F73" s="1"/>
  <c r="G73" s="1"/>
  <c r="H73" s="1"/>
  <c r="I73" s="1"/>
  <c r="I72"/>
  <c r="H72"/>
  <c r="I71"/>
  <c r="H71"/>
  <c r="H74" s="1"/>
  <c r="I62"/>
  <c r="H62"/>
  <c r="G62"/>
  <c r="F62"/>
  <c r="E62"/>
  <c r="G61"/>
  <c r="H61" s="1"/>
  <c r="F61"/>
  <c r="E61"/>
  <c r="H47"/>
  <c r="I47" s="1"/>
  <c r="G47"/>
  <c r="F47"/>
  <c r="E47"/>
  <c r="I43"/>
  <c r="I54" s="1"/>
  <c r="H43"/>
  <c r="H53" s="1"/>
  <c r="I53" s="1"/>
  <c r="G43"/>
  <c r="G42" s="1"/>
  <c r="F43"/>
  <c r="F42" s="1"/>
  <c r="E43"/>
  <c r="E42" s="1"/>
  <c r="D43"/>
  <c r="I28"/>
  <c r="I27"/>
  <c r="C11"/>
  <c r="I8"/>
  <c r="D69" s="1"/>
  <c r="C26"/>
  <c r="C27" s="1"/>
  <c r="C29" s="1"/>
  <c r="D29" s="1"/>
  <c r="C16"/>
  <c r="C18" s="1"/>
  <c r="C20" s="1"/>
  <c r="H42" l="1"/>
  <c r="I42"/>
  <c r="I74"/>
  <c r="F46"/>
  <c r="F72" s="1"/>
  <c r="F51"/>
  <c r="G51" s="1"/>
  <c r="H51" s="1"/>
  <c r="I51" s="1"/>
  <c r="E46"/>
  <c r="F71"/>
  <c r="D70"/>
  <c r="D75" s="1"/>
  <c r="I10"/>
  <c r="I61"/>
  <c r="F74" l="1"/>
  <c r="E72"/>
  <c r="E57"/>
  <c r="F57" s="1"/>
  <c r="G57" s="1"/>
  <c r="H57" s="1"/>
  <c r="I57" s="1"/>
  <c r="E50"/>
  <c r="F50" s="1"/>
  <c r="G50" s="1"/>
  <c r="H50" s="1"/>
  <c r="I50" s="1"/>
  <c r="E71"/>
  <c r="E48"/>
  <c r="F45" s="1"/>
  <c r="F48" s="1"/>
  <c r="G45" s="1"/>
  <c r="G48" s="1"/>
  <c r="H45" s="1"/>
  <c r="H48" s="1"/>
  <c r="I45" s="1"/>
  <c r="I48" s="1"/>
  <c r="D85"/>
  <c r="I12"/>
  <c r="I13" s="1"/>
  <c r="E38"/>
  <c r="E55" l="1"/>
  <c r="G72"/>
  <c r="G71"/>
  <c r="G52"/>
  <c r="H52" s="1"/>
  <c r="I52" s="1"/>
  <c r="E74"/>
  <c r="E75" s="1"/>
  <c r="F75" s="1"/>
  <c r="I39"/>
  <c r="E39"/>
  <c r="E40" s="1"/>
  <c r="H39"/>
  <c r="F39"/>
  <c r="G39"/>
  <c r="F55" l="1"/>
  <c r="G74"/>
  <c r="G75" s="1"/>
  <c r="H75" s="1"/>
  <c r="I75" s="1"/>
  <c r="F38"/>
  <c r="F40" s="1"/>
  <c r="E58"/>
  <c r="E64" l="1"/>
  <c r="E59"/>
  <c r="G55"/>
  <c r="G38"/>
  <c r="G40" s="1"/>
  <c r="F58"/>
  <c r="E78"/>
  <c r="E85" s="1"/>
  <c r="E86" s="1"/>
  <c r="E76"/>
  <c r="E65"/>
  <c r="F64" l="1"/>
  <c r="F65" s="1"/>
  <c r="F59"/>
  <c r="H55"/>
  <c r="I55"/>
  <c r="H38"/>
  <c r="H40" s="1"/>
  <c r="G58"/>
  <c r="F76"/>
  <c r="F78"/>
  <c r="F85" s="1"/>
  <c r="F86" s="1"/>
  <c r="G64" l="1"/>
  <c r="G76" s="1"/>
  <c r="G59"/>
  <c r="I38"/>
  <c r="I40" s="1"/>
  <c r="I58" s="1"/>
  <c r="H58"/>
  <c r="G78"/>
  <c r="G85" s="1"/>
  <c r="G86" s="1"/>
  <c r="G65" l="1"/>
  <c r="I64"/>
  <c r="I78" s="1"/>
  <c r="I59"/>
  <c r="H64"/>
  <c r="H76" s="1"/>
  <c r="H59"/>
  <c r="I65"/>
  <c r="I80"/>
  <c r="I82" s="1"/>
  <c r="H65"/>
  <c r="H78"/>
  <c r="H85" s="1"/>
  <c r="H86" s="1"/>
  <c r="I76" l="1"/>
  <c r="D76" s="1"/>
  <c r="I83"/>
  <c r="I85" s="1"/>
  <c r="C86" s="1"/>
  <c r="C82"/>
  <c r="B85" l="1"/>
  <c r="B86" s="1"/>
</calcChain>
</file>

<file path=xl/sharedStrings.xml><?xml version="1.0" encoding="utf-8"?>
<sst xmlns="http://schemas.openxmlformats.org/spreadsheetml/2006/main" count="124" uniqueCount="112">
  <si>
    <t>Hypothetical U.S. Office Acquisition</t>
  </si>
  <si>
    <t>Class A-/B+ Office Building</t>
  </si>
  <si>
    <t>Sq. Feet:</t>
  </si>
  <si>
    <t>First Quarter 2011</t>
  </si>
  <si>
    <t>PSF Full Service</t>
  </si>
  <si>
    <t>Rental Concessions:</t>
  </si>
  <si>
    <t>Net Effective Rent:</t>
  </si>
  <si>
    <t>Operating Expenses:</t>
  </si>
  <si>
    <t>PSF/Ann.</t>
  </si>
  <si>
    <t>Market Rent (Gross):</t>
  </si>
  <si>
    <t>Market Rent (Net):</t>
  </si>
  <si>
    <t>MARKET RENT</t>
  </si>
  <si>
    <t>OCCUPANCY</t>
  </si>
  <si>
    <t>Project Vacancy</t>
  </si>
  <si>
    <t>Market Vacancy</t>
  </si>
  <si>
    <t>Stabilized Vacancy</t>
  </si>
  <si>
    <t>Assumed Absorption</t>
  </si>
  <si>
    <t>Absorption (SF)</t>
  </si>
  <si>
    <t>Free Rent, Lease Assump., etc.</t>
  </si>
  <si>
    <t>Absorp. Timeline (mo.)</t>
  </si>
  <si>
    <t>Absorp. per ann.(SF/%)</t>
  </si>
  <si>
    <t>PROJECT</t>
  </si>
  <si>
    <t>Property:</t>
  </si>
  <si>
    <t>(Market Stabilized Vacancy = 10%)</t>
  </si>
  <si>
    <t>PURCHASE METRICS</t>
  </si>
  <si>
    <t>Purchase Price:</t>
  </si>
  <si>
    <t>Purchase Price PSF:</t>
  </si>
  <si>
    <t>In-Place NOI:</t>
  </si>
  <si>
    <t>Profile:</t>
  </si>
  <si>
    <t>Core-Plus/Value-Add (Lease-Up Only)</t>
  </si>
  <si>
    <t>Acquisition Cap Rate:</t>
  </si>
  <si>
    <t>NOI per Leased SF:</t>
  </si>
  <si>
    <t>in-place premium</t>
  </si>
  <si>
    <t>Annual Lease Rollover:</t>
  </si>
  <si>
    <t>Holding Period:</t>
  </si>
  <si>
    <t>years</t>
  </si>
  <si>
    <t>Financing Assumption:</t>
  </si>
  <si>
    <t>Unleveraged</t>
  </si>
  <si>
    <t>ACQUISITION PRO FORMA</t>
  </si>
  <si>
    <t>1</t>
  </si>
  <si>
    <t>2</t>
  </si>
  <si>
    <t>3</t>
  </si>
  <si>
    <t>4</t>
  </si>
  <si>
    <t>5</t>
  </si>
  <si>
    <t>Loss from Lease Rollover</t>
  </si>
  <si>
    <t>GROWTH ASSUMPTIONS</t>
  </si>
  <si>
    <t>CAPITAL COSTS</t>
  </si>
  <si>
    <t>Acquisition Costs:</t>
  </si>
  <si>
    <t>of Purchase Price</t>
  </si>
  <si>
    <t>Tenant Imprvmts (New):</t>
  </si>
  <si>
    <t>Tenant Impvmt. (Renew):</t>
  </si>
  <si>
    <t>PSF</t>
  </si>
  <si>
    <t>Tenant Retention</t>
  </si>
  <si>
    <t>Leasing Comm. (New):</t>
  </si>
  <si>
    <t>Leasing Comm. (Renew):</t>
  </si>
  <si>
    <t>Annual CapEx Reserves</t>
  </si>
  <si>
    <t>In-Place Rent - Beginning</t>
  </si>
  <si>
    <t>In-Place Rent - Ending</t>
  </si>
  <si>
    <t>Investment Year:</t>
  </si>
  <si>
    <t>In-Place Rent</t>
  </si>
  <si>
    <t>Mark-to-Market Rent</t>
  </si>
  <si>
    <t>Current Market Rent</t>
  </si>
  <si>
    <t>0</t>
  </si>
  <si>
    <t>Rent Growth</t>
  </si>
  <si>
    <t>Year 1</t>
  </si>
  <si>
    <t>Year 2</t>
  </si>
  <si>
    <t>Year 3</t>
  </si>
  <si>
    <t>Year 4</t>
  </si>
  <si>
    <t>Thereafter</t>
  </si>
  <si>
    <t>Cumulative Growth:</t>
  </si>
  <si>
    <t>SF at New Market Rent:</t>
  </si>
  <si>
    <t xml:space="preserve">     New Leases</t>
  </si>
  <si>
    <t xml:space="preserve">     Rollover Leases</t>
  </si>
  <si>
    <t xml:space="preserve">     Beginning Balance</t>
  </si>
  <si>
    <t xml:space="preserve">     Ending Balance</t>
  </si>
  <si>
    <t>Year</t>
  </si>
  <si>
    <t>OpEx, Cap Costs, CPI Escal.</t>
  </si>
  <si>
    <t>Rent from Leases Signed</t>
  </si>
  <si>
    <t>Total</t>
  </si>
  <si>
    <t>Average Occupancy</t>
  </si>
  <si>
    <t>Total Rent</t>
  </si>
  <si>
    <t>Operating Expenses</t>
  </si>
  <si>
    <t>Operating Expenses PSF</t>
  </si>
  <si>
    <t>Net Operating Income</t>
  </si>
  <si>
    <t>NOI Yield on Purchase Price</t>
  </si>
  <si>
    <t>NET OPERATING INCOME</t>
  </si>
  <si>
    <t>Initial Capital Investment</t>
  </si>
  <si>
    <t xml:space="preserve">     Purchase Price</t>
  </si>
  <si>
    <t xml:space="preserve">     Closing Costs</t>
  </si>
  <si>
    <t>Tenant Improvements</t>
  </si>
  <si>
    <t>Leasing Commissions</t>
  </si>
  <si>
    <t>Recurring CapEx</t>
  </si>
  <si>
    <t>Annual Capital Costs</t>
  </si>
  <si>
    <t>Cumulative Capital Costs</t>
  </si>
  <si>
    <t>NOI Yield on Aggregate Cost Basis</t>
  </si>
  <si>
    <t>Residual Value Calculation</t>
  </si>
  <si>
    <t xml:space="preserve">     Year 5 NOI</t>
  </si>
  <si>
    <t xml:space="preserve">     Exit Cap Rate</t>
  </si>
  <si>
    <t xml:space="preserve">     Gross Sale Price</t>
  </si>
  <si>
    <t xml:space="preserve">     Net Sale Price</t>
  </si>
  <si>
    <t>Cost of Sale</t>
  </si>
  <si>
    <t>Annual Cash Flow</t>
  </si>
  <si>
    <t>In-Place Rent vs. Mkt Rent:</t>
  </si>
  <si>
    <t>Average</t>
  </si>
  <si>
    <t>to stabilization</t>
  </si>
  <si>
    <t>NCF/Profit</t>
  </si>
  <si>
    <t>Mult./IRR</t>
  </si>
  <si>
    <t>"Angels Plaza"</t>
  </si>
  <si>
    <t>Bob Dougherty</t>
  </si>
  <si>
    <t>Buchanan Street Partners</t>
  </si>
  <si>
    <t>Average Rent per Leased SF</t>
  </si>
  <si>
    <t>Cash Yield: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</si>
</sst>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right"/>
    </xf>
    <xf numFmtId="44" fontId="0" fillId="0" borderId="0" xfId="2" applyFont="1"/>
    <xf numFmtId="9" fontId="0" fillId="0" borderId="0" xfId="3" applyFont="1"/>
    <xf numFmtId="44" fontId="0" fillId="0" borderId="1" xfId="2" applyFont="1" applyBorder="1"/>
    <xf numFmtId="44" fontId="0" fillId="0" borderId="2" xfId="2" applyFont="1" applyBorder="1"/>
    <xf numFmtId="164" fontId="1" fillId="0" borderId="0" xfId="1" applyNumberFormat="1" applyFont="1"/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5" fontId="0" fillId="0" borderId="0" xfId="3" applyNumberFormat="1" applyFont="1"/>
    <xf numFmtId="43" fontId="0" fillId="0" borderId="0" xfId="1" applyNumberFormat="1" applyFont="1"/>
    <xf numFmtId="164" fontId="3" fillId="0" borderId="0" xfId="1" quotePrefix="1" applyNumberFormat="1" applyFont="1" applyAlignment="1">
      <alignment horizontal="center"/>
    </xf>
    <xf numFmtId="164" fontId="0" fillId="0" borderId="1" xfId="1" applyNumberFormat="1" applyFont="1" applyBorder="1"/>
    <xf numFmtId="10" fontId="0" fillId="0" borderId="0" xfId="3" applyNumberFormat="1" applyFont="1"/>
    <xf numFmtId="164" fontId="4" fillId="0" borderId="0" xfId="1" applyNumberFormat="1" applyFont="1"/>
    <xf numFmtId="164" fontId="2" fillId="0" borderId="0" xfId="1" applyNumberFormat="1" applyFont="1"/>
    <xf numFmtId="44" fontId="0" fillId="0" borderId="0" xfId="2" applyNumberFormat="1" applyFont="1"/>
    <xf numFmtId="164" fontId="0" fillId="0" borderId="2" xfId="1" applyNumberFormat="1" applyFont="1" applyBorder="1"/>
    <xf numFmtId="165" fontId="0" fillId="0" borderId="0" xfId="3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43" fontId="0" fillId="0" borderId="7" xfId="1" applyNumberFormat="1" applyFont="1" applyBorder="1"/>
    <xf numFmtId="165" fontId="0" fillId="0" borderId="7" xfId="3" applyNumberFormat="1" applyFont="1" applyBorder="1"/>
    <xf numFmtId="164" fontId="0" fillId="0" borderId="8" xfId="1" applyNumberFormat="1" applyFont="1" applyBorder="1"/>
    <xf numFmtId="164" fontId="0" fillId="0" borderId="7" xfId="1" applyNumberFormat="1" applyFont="1" applyBorder="1" applyAlignment="1">
      <alignment horizontal="right"/>
    </xf>
    <xf numFmtId="164" fontId="5" fillId="0" borderId="0" xfId="1" applyNumberFormat="1" applyFont="1"/>
    <xf numFmtId="164" fontId="6" fillId="0" borderId="0" xfId="1" applyNumberFormat="1" applyFont="1"/>
    <xf numFmtId="164" fontId="5" fillId="0" borderId="0" xfId="1" applyNumberFormat="1" applyFont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"/>
  <sheetViews>
    <sheetView tabSelected="1" zoomScaleNormal="100" workbookViewId="0">
      <selection activeCell="I1" sqref="I1"/>
    </sheetView>
  </sheetViews>
  <sheetFormatPr defaultRowHeight="15"/>
  <cols>
    <col min="1" max="2" width="11.85546875" style="1" customWidth="1"/>
    <col min="3" max="3" width="9" style="1" customWidth="1"/>
    <col min="4" max="4" width="13.140625" style="1" customWidth="1"/>
    <col min="5" max="9" width="12.5703125" style="1" customWidth="1"/>
    <col min="10" max="12" width="12.140625" style="1" customWidth="1"/>
    <col min="13" max="16384" width="9.140625" style="1"/>
  </cols>
  <sheetData>
    <row r="1" spans="1:11" ht="18.75">
      <c r="A1" s="30" t="s">
        <v>107</v>
      </c>
      <c r="B1" s="31"/>
      <c r="C1" s="31"/>
      <c r="D1" s="31"/>
      <c r="E1" s="31"/>
      <c r="F1" s="31"/>
      <c r="G1" s="31"/>
      <c r="H1" s="31"/>
      <c r="I1" s="31"/>
      <c r="J1" s="31"/>
      <c r="K1" s="32" t="s">
        <v>108</v>
      </c>
    </row>
    <row r="2" spans="1:11" ht="18.75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2" t="s">
        <v>109</v>
      </c>
    </row>
    <row r="3" spans="1:11" ht="18.75">
      <c r="A3" s="30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7" spans="1:11">
      <c r="A7" s="9" t="s">
        <v>21</v>
      </c>
      <c r="G7" s="9" t="s">
        <v>24</v>
      </c>
    </row>
    <row r="8" spans="1:11">
      <c r="A8" s="1" t="s">
        <v>22</v>
      </c>
      <c r="C8" s="2" t="s">
        <v>1</v>
      </c>
      <c r="G8" s="1" t="s">
        <v>25</v>
      </c>
      <c r="I8" s="1">
        <f>I9*C9</f>
        <v>40000000</v>
      </c>
    </row>
    <row r="9" spans="1:11">
      <c r="A9" s="1" t="s">
        <v>2</v>
      </c>
      <c r="C9" s="2">
        <v>200000</v>
      </c>
      <c r="G9" s="1" t="s">
        <v>26</v>
      </c>
      <c r="I9" s="4">
        <v>200</v>
      </c>
    </row>
    <row r="10" spans="1:11">
      <c r="A10" s="1" t="s">
        <v>28</v>
      </c>
      <c r="C10" s="1" t="s">
        <v>29</v>
      </c>
      <c r="G10" s="1" t="s">
        <v>27</v>
      </c>
      <c r="I10" s="1">
        <f>I8*I11</f>
        <v>2600000</v>
      </c>
    </row>
    <row r="11" spans="1:11">
      <c r="A11" s="1" t="s">
        <v>33</v>
      </c>
      <c r="C11" s="5">
        <f>1/5</f>
        <v>0.2</v>
      </c>
      <c r="D11" s="5">
        <v>0.7</v>
      </c>
      <c r="E11" s="1" t="s">
        <v>52</v>
      </c>
      <c r="G11" s="1" t="s">
        <v>30</v>
      </c>
      <c r="I11" s="11">
        <v>6.5000000000000002E-2</v>
      </c>
    </row>
    <row r="12" spans="1:11">
      <c r="A12" s="1" t="s">
        <v>34</v>
      </c>
      <c r="C12" s="1">
        <v>5</v>
      </c>
      <c r="D12" s="1" t="s">
        <v>35</v>
      </c>
      <c r="G12" s="1" t="s">
        <v>31</v>
      </c>
      <c r="I12" s="4">
        <f>I10/(C9*(1-C23))</f>
        <v>17.333333333333332</v>
      </c>
    </row>
    <row r="13" spans="1:11">
      <c r="A13" s="1" t="s">
        <v>36</v>
      </c>
      <c r="C13" s="1" t="s">
        <v>37</v>
      </c>
      <c r="G13" s="1" t="s">
        <v>102</v>
      </c>
      <c r="I13" s="11">
        <f>((I12-C19)-C16*(1-C17))/(C16*(1-C17))</f>
        <v>0.17508417508417504</v>
      </c>
      <c r="J13" s="1" t="s">
        <v>32</v>
      </c>
    </row>
    <row r="15" spans="1:11">
      <c r="A15" s="9" t="s">
        <v>11</v>
      </c>
      <c r="B15" s="8"/>
      <c r="G15" s="9" t="s">
        <v>45</v>
      </c>
    </row>
    <row r="16" spans="1:11">
      <c r="A16" s="1" t="s">
        <v>9</v>
      </c>
      <c r="C16" s="4">
        <f>2.25*12</f>
        <v>27</v>
      </c>
      <c r="D16" s="1" t="s">
        <v>4</v>
      </c>
      <c r="G16" s="1" t="s">
        <v>63</v>
      </c>
      <c r="I16" s="11">
        <v>0.05</v>
      </c>
      <c r="J16" s="1" t="s">
        <v>64</v>
      </c>
    </row>
    <row r="17" spans="1:11">
      <c r="A17" s="1" t="s">
        <v>5</v>
      </c>
      <c r="C17" s="5">
        <f>1/12</f>
        <v>8.3333333333333329E-2</v>
      </c>
      <c r="D17" s="1" t="s">
        <v>18</v>
      </c>
      <c r="I17" s="11">
        <v>0.1</v>
      </c>
      <c r="J17" s="1" t="s">
        <v>65</v>
      </c>
    </row>
    <row r="18" spans="1:11">
      <c r="A18" s="1" t="s">
        <v>6</v>
      </c>
      <c r="C18" s="6">
        <f>C16*(1-C17)</f>
        <v>24.75</v>
      </c>
      <c r="D18" s="1" t="s">
        <v>8</v>
      </c>
      <c r="I18" s="11">
        <v>0.1</v>
      </c>
      <c r="J18" s="1" t="s">
        <v>66</v>
      </c>
    </row>
    <row r="19" spans="1:11">
      <c r="A19" s="1" t="s">
        <v>7</v>
      </c>
      <c r="C19" s="4">
        <v>-11.75</v>
      </c>
      <c r="D19" s="1" t="s">
        <v>8</v>
      </c>
      <c r="I19" s="11">
        <v>0.05</v>
      </c>
      <c r="J19" s="1" t="s">
        <v>67</v>
      </c>
    </row>
    <row r="20" spans="1:11" ht="15.75" thickBot="1">
      <c r="A20" s="1" t="s">
        <v>10</v>
      </c>
      <c r="C20" s="7">
        <f>+C18+C19</f>
        <v>13</v>
      </c>
      <c r="D20" s="1" t="s">
        <v>8</v>
      </c>
      <c r="F20" s="12"/>
      <c r="I20" s="11">
        <v>0.03</v>
      </c>
      <c r="J20" s="1" t="s">
        <v>68</v>
      </c>
    </row>
    <row r="21" spans="1:11" ht="15.75" thickTop="1">
      <c r="F21" s="12"/>
      <c r="G21" s="1" t="s">
        <v>76</v>
      </c>
      <c r="I21" s="15">
        <v>2.5000000000000001E-2</v>
      </c>
    </row>
    <row r="22" spans="1:11">
      <c r="A22" s="9" t="s">
        <v>12</v>
      </c>
    </row>
    <row r="23" spans="1:11">
      <c r="A23" s="1" t="s">
        <v>13</v>
      </c>
      <c r="C23" s="5">
        <v>0.25</v>
      </c>
      <c r="F23" s="11"/>
      <c r="G23" s="9" t="s">
        <v>46</v>
      </c>
    </row>
    <row r="24" spans="1:11">
      <c r="A24" s="1" t="s">
        <v>14</v>
      </c>
      <c r="C24" s="5">
        <v>0.15</v>
      </c>
      <c r="G24" s="1" t="s">
        <v>47</v>
      </c>
      <c r="I24" s="15">
        <v>0.01</v>
      </c>
      <c r="J24" s="1" t="s">
        <v>48</v>
      </c>
    </row>
    <row r="25" spans="1:11">
      <c r="A25" s="1" t="s">
        <v>15</v>
      </c>
      <c r="C25" s="5">
        <v>7.0000000000000007E-2</v>
      </c>
      <c r="D25" s="1" t="s">
        <v>23</v>
      </c>
      <c r="G25" s="1" t="s">
        <v>49</v>
      </c>
      <c r="I25" s="4">
        <v>35</v>
      </c>
      <c r="J25" s="1" t="s">
        <v>51</v>
      </c>
    </row>
    <row r="26" spans="1:11">
      <c r="A26" s="1" t="s">
        <v>16</v>
      </c>
      <c r="C26" s="5">
        <f>C23-C25</f>
        <v>0.18</v>
      </c>
      <c r="D26" s="1" t="s">
        <v>104</v>
      </c>
      <c r="G26" s="1" t="s">
        <v>50</v>
      </c>
      <c r="I26" s="4">
        <v>10</v>
      </c>
      <c r="J26" s="1" t="s">
        <v>51</v>
      </c>
    </row>
    <row r="27" spans="1:11">
      <c r="A27" s="1" t="s">
        <v>17</v>
      </c>
      <c r="C27" s="1">
        <f>C26*C9</f>
        <v>36000</v>
      </c>
      <c r="G27" s="1" t="s">
        <v>53</v>
      </c>
      <c r="I27" s="4">
        <f>$C$16*1/$C$11*K27</f>
        <v>6.75</v>
      </c>
      <c r="J27" s="1" t="s">
        <v>51</v>
      </c>
      <c r="K27" s="15">
        <v>0.05</v>
      </c>
    </row>
    <row r="28" spans="1:11">
      <c r="A28" s="1" t="s">
        <v>19</v>
      </c>
      <c r="C28" s="1">
        <v>30</v>
      </c>
      <c r="G28" s="1" t="s">
        <v>54</v>
      </c>
      <c r="I28" s="4">
        <f>$C$16*1/$C$11*K28</f>
        <v>4.05</v>
      </c>
      <c r="J28" s="1" t="s">
        <v>51</v>
      </c>
      <c r="K28" s="15">
        <v>0.03</v>
      </c>
    </row>
    <row r="29" spans="1:11">
      <c r="A29" s="1" t="s">
        <v>20</v>
      </c>
      <c r="C29" s="1">
        <f>C27/(C28/12)</f>
        <v>14400</v>
      </c>
      <c r="D29" s="5">
        <f>C29/C9</f>
        <v>7.1999999999999995E-2</v>
      </c>
      <c r="G29" s="1" t="s">
        <v>55</v>
      </c>
      <c r="I29" s="4">
        <v>0.5</v>
      </c>
      <c r="J29" s="1" t="s">
        <v>51</v>
      </c>
    </row>
    <row r="30" spans="1:11">
      <c r="G30" s="10"/>
      <c r="H30" s="10"/>
    </row>
    <row r="32" spans="1:11">
      <c r="A32" s="9" t="s">
        <v>38</v>
      </c>
    </row>
    <row r="33" spans="1:9">
      <c r="E33" s="17">
        <v>1</v>
      </c>
      <c r="F33" s="17">
        <v>2</v>
      </c>
      <c r="G33" s="17">
        <v>3</v>
      </c>
      <c r="H33" s="17">
        <v>4</v>
      </c>
      <c r="I33" s="17">
        <v>5</v>
      </c>
    </row>
    <row r="34" spans="1:9">
      <c r="C34" s="3" t="s">
        <v>58</v>
      </c>
      <c r="D34" s="13" t="s">
        <v>62</v>
      </c>
      <c r="E34" s="13" t="s">
        <v>39</v>
      </c>
      <c r="F34" s="13" t="s">
        <v>40</v>
      </c>
      <c r="G34" s="13" t="s">
        <v>41</v>
      </c>
      <c r="H34" s="13" t="s">
        <v>42</v>
      </c>
      <c r="I34" s="13" t="s">
        <v>43</v>
      </c>
    </row>
    <row r="35" spans="1:9">
      <c r="C35" s="3"/>
      <c r="D35" s="13"/>
      <c r="E35" s="13"/>
      <c r="F35" s="13"/>
      <c r="G35" s="13"/>
      <c r="H35" s="13"/>
      <c r="I35" s="13"/>
    </row>
    <row r="36" spans="1:9">
      <c r="A36" s="9" t="s">
        <v>85</v>
      </c>
      <c r="C36" s="3"/>
      <c r="D36" s="13"/>
      <c r="E36" s="13"/>
      <c r="F36" s="13"/>
      <c r="G36" s="13"/>
      <c r="H36" s="13"/>
      <c r="I36" s="13"/>
    </row>
    <row r="37" spans="1:9">
      <c r="A37" s="16" t="s">
        <v>59</v>
      </c>
      <c r="D37" s="3"/>
    </row>
    <row r="38" spans="1:9">
      <c r="A38" s="1" t="s">
        <v>56</v>
      </c>
      <c r="E38" s="1">
        <f>I10+-C19*C9*(1-C23)</f>
        <v>4362500</v>
      </c>
      <c r="F38" s="1">
        <f>E40</f>
        <v>3490000</v>
      </c>
      <c r="G38" s="1">
        <f t="shared" ref="G38:I38" si="0">F40</f>
        <v>2617500</v>
      </c>
      <c r="H38" s="1">
        <f t="shared" si="0"/>
        <v>1745000</v>
      </c>
      <c r="I38" s="1">
        <f t="shared" si="0"/>
        <v>872500</v>
      </c>
    </row>
    <row r="39" spans="1:9">
      <c r="A39" s="1" t="s">
        <v>44</v>
      </c>
      <c r="E39" s="1">
        <f>$E$38*-$C$11</f>
        <v>-872500</v>
      </c>
      <c r="F39" s="1">
        <f>$E$38*-$C$11</f>
        <v>-872500</v>
      </c>
      <c r="G39" s="1">
        <f>$E$38*-$C$11</f>
        <v>-872500</v>
      </c>
      <c r="H39" s="1">
        <f>$E$38*-$C$11</f>
        <v>-872500</v>
      </c>
      <c r="I39" s="1">
        <f>$E$38*-$C$11</f>
        <v>-872500</v>
      </c>
    </row>
    <row r="40" spans="1:9">
      <c r="A40" s="1" t="s">
        <v>57</v>
      </c>
      <c r="E40" s="14">
        <f>+E38+E39</f>
        <v>3490000</v>
      </c>
      <c r="F40" s="14">
        <f>+F38+F39</f>
        <v>2617500</v>
      </c>
      <c r="G40" s="14">
        <f t="shared" ref="G40:I40" si="1">+G38+G39</f>
        <v>1745000</v>
      </c>
      <c r="H40" s="14">
        <f t="shared" si="1"/>
        <v>872500</v>
      </c>
      <c r="I40" s="14">
        <f t="shared" si="1"/>
        <v>0</v>
      </c>
    </row>
    <row r="42" spans="1:9">
      <c r="A42" s="16" t="s">
        <v>60</v>
      </c>
      <c r="D42" s="3" t="s">
        <v>69</v>
      </c>
      <c r="E42" s="11">
        <f>(E43-$D$43)/$D$43</f>
        <v>2.4999999999999894E-2</v>
      </c>
      <c r="F42" s="11">
        <f t="shared" ref="F42:I42" si="2">(F43-$D$43)/$D$43</f>
        <v>0.10250000000000006</v>
      </c>
      <c r="G42" s="11">
        <f t="shared" si="2"/>
        <v>0.2127500000000003</v>
      </c>
      <c r="H42" s="11">
        <f t="shared" si="2"/>
        <v>0.30846296296296316</v>
      </c>
      <c r="I42" s="11">
        <f t="shared" si="2"/>
        <v>0.35403537500000015</v>
      </c>
    </row>
    <row r="43" spans="1:9">
      <c r="A43" s="1" t="s">
        <v>61</v>
      </c>
      <c r="D43" s="4">
        <f>+C16</f>
        <v>27</v>
      </c>
      <c r="E43" s="4">
        <f>D43*(1+I16/2)</f>
        <v>27.674999999999997</v>
      </c>
      <c r="F43" s="4">
        <f>D43*(1+I16)*(1+I17/2)</f>
        <v>29.767500000000002</v>
      </c>
      <c r="G43" s="4">
        <f>D43*(1+I16)*(1+I17)*(1+I18/2)</f>
        <v>32.744250000000008</v>
      </c>
      <c r="H43" s="4">
        <f>D43*(1+I16)*(1+I17)*(1+I18)+(1+I19/2)</f>
        <v>35.328500000000005</v>
      </c>
      <c r="I43" s="4">
        <f>D43*(1+I16)*(1+I17)*(1+I18)*(1+I19)*(1+I20/2)</f>
        <v>36.558955125000004</v>
      </c>
    </row>
    <row r="44" spans="1:9">
      <c r="A44" s="1" t="s">
        <v>70</v>
      </c>
    </row>
    <row r="45" spans="1:9">
      <c r="A45" s="1" t="s">
        <v>73</v>
      </c>
      <c r="E45" s="1">
        <v>0</v>
      </c>
      <c r="F45" s="1">
        <f>+E48</f>
        <v>37200</v>
      </c>
      <c r="G45" s="1">
        <f>+F48</f>
        <v>81600</v>
      </c>
      <c r="H45" s="1">
        <f t="shared" ref="H45:I45" si="3">+G48</f>
        <v>126000</v>
      </c>
      <c r="I45" s="1">
        <f t="shared" si="3"/>
        <v>156000</v>
      </c>
    </row>
    <row r="46" spans="1:9">
      <c r="A46" s="1" t="s">
        <v>71</v>
      </c>
      <c r="E46" s="1">
        <f>C29/2</f>
        <v>7200</v>
      </c>
      <c r="F46" s="1">
        <f>C29</f>
        <v>14400</v>
      </c>
      <c r="G46" s="1">
        <f>F46</f>
        <v>14400</v>
      </c>
    </row>
    <row r="47" spans="1:9">
      <c r="A47" s="1" t="s">
        <v>72</v>
      </c>
      <c r="E47" s="1">
        <f>C9*(1-C23)*C11</f>
        <v>30000</v>
      </c>
      <c r="F47" s="1">
        <f>E47</f>
        <v>30000</v>
      </c>
      <c r="G47" s="1">
        <f t="shared" ref="G47:I47" si="4">F47</f>
        <v>30000</v>
      </c>
      <c r="H47" s="1">
        <f t="shared" si="4"/>
        <v>30000</v>
      </c>
      <c r="I47" s="1">
        <f t="shared" si="4"/>
        <v>30000</v>
      </c>
    </row>
    <row r="48" spans="1:9">
      <c r="A48" s="1" t="s">
        <v>74</v>
      </c>
      <c r="E48" s="1">
        <f>SUM(E45:E47)</f>
        <v>37200</v>
      </c>
      <c r="F48" s="1">
        <f t="shared" ref="F48:I48" si="5">SUM(F45:F47)</f>
        <v>81600</v>
      </c>
      <c r="G48" s="1">
        <f t="shared" si="5"/>
        <v>126000</v>
      </c>
      <c r="H48" s="1">
        <f t="shared" si="5"/>
        <v>156000</v>
      </c>
      <c r="I48" s="1">
        <f t="shared" si="5"/>
        <v>186000</v>
      </c>
    </row>
    <row r="50" spans="1:9">
      <c r="A50" s="1" t="s">
        <v>77</v>
      </c>
      <c r="C50" s="1" t="s">
        <v>75</v>
      </c>
      <c r="D50" s="1">
        <v>1</v>
      </c>
      <c r="E50" s="1">
        <f>(E46+E47)*E43</f>
        <v>1029509.9999999999</v>
      </c>
      <c r="F50" s="1">
        <f>E50*(1+$I$21)</f>
        <v>1055247.7499999998</v>
      </c>
      <c r="G50" s="1">
        <f t="shared" ref="G50:I50" si="6">F50*(1+$I$21)</f>
        <v>1081628.9437499996</v>
      </c>
      <c r="H50" s="1">
        <f t="shared" si="6"/>
        <v>1108669.6673437494</v>
      </c>
      <c r="I50" s="1">
        <f t="shared" si="6"/>
        <v>1136386.4090273432</v>
      </c>
    </row>
    <row r="51" spans="1:9">
      <c r="C51" s="1" t="s">
        <v>75</v>
      </c>
      <c r="D51" s="1">
        <v>2</v>
      </c>
      <c r="F51" s="1">
        <f>(F46+F47)*F43</f>
        <v>1321677</v>
      </c>
      <c r="G51" s="1">
        <f>F51*(1+$I$21)</f>
        <v>1354718.9249999998</v>
      </c>
      <c r="H51" s="1">
        <f t="shared" ref="H51:I51" si="7">G51*(1+$I$21)</f>
        <v>1388586.8981249996</v>
      </c>
      <c r="I51" s="1">
        <f t="shared" si="7"/>
        <v>1423301.5705781244</v>
      </c>
    </row>
    <row r="52" spans="1:9">
      <c r="C52" s="1" t="s">
        <v>75</v>
      </c>
      <c r="D52" s="1">
        <v>3</v>
      </c>
      <c r="G52" s="1">
        <f>(G46+G47)*G43</f>
        <v>1453844.7000000004</v>
      </c>
      <c r="H52" s="1">
        <f>G52*(1+$I$21)</f>
        <v>1490190.8175000004</v>
      </c>
      <c r="I52" s="1">
        <f>H52*(1+$I$21)</f>
        <v>1527445.5879375003</v>
      </c>
    </row>
    <row r="53" spans="1:9">
      <c r="C53" s="1" t="s">
        <v>75</v>
      </c>
      <c r="D53" s="1">
        <v>4</v>
      </c>
      <c r="H53" s="1">
        <f>(H46+H47)*H43</f>
        <v>1059855.0000000002</v>
      </c>
      <c r="I53" s="1">
        <f>H53*(1+$I$21)</f>
        <v>1086351.3750000002</v>
      </c>
    </row>
    <row r="54" spans="1:9">
      <c r="C54" s="1" t="s">
        <v>75</v>
      </c>
      <c r="D54" s="1">
        <v>5</v>
      </c>
      <c r="I54" s="1">
        <f>(I46+I47)*I43</f>
        <v>1096768.6537500001</v>
      </c>
    </row>
    <row r="55" spans="1:9">
      <c r="C55" s="1" t="s">
        <v>78</v>
      </c>
      <c r="E55" s="14">
        <f>SUM(E50:E54)</f>
        <v>1029509.9999999999</v>
      </c>
      <c r="F55" s="14">
        <f t="shared" ref="F55:I55" si="8">SUM(F50:F54)</f>
        <v>2376924.75</v>
      </c>
      <c r="G55" s="14">
        <f t="shared" si="8"/>
        <v>3890192.5687499996</v>
      </c>
      <c r="H55" s="14">
        <f t="shared" si="8"/>
        <v>5047302.3829687499</v>
      </c>
      <c r="I55" s="14">
        <f t="shared" si="8"/>
        <v>6270253.5962929688</v>
      </c>
    </row>
    <row r="57" spans="1:9">
      <c r="A57" s="1" t="s">
        <v>79</v>
      </c>
      <c r="E57" s="11">
        <f>(1-C23)+E46/C9</f>
        <v>0.78600000000000003</v>
      </c>
      <c r="F57" s="11">
        <f>+E57+F46/$C$9</f>
        <v>0.85799999999999998</v>
      </c>
      <c r="G57" s="11">
        <f>+F57+G46/$C$9</f>
        <v>0.92999999999999994</v>
      </c>
      <c r="H57" s="11">
        <f>+G57</f>
        <v>0.92999999999999994</v>
      </c>
      <c r="I57" s="11">
        <f>+H57</f>
        <v>0.92999999999999994</v>
      </c>
    </row>
    <row r="58" spans="1:9">
      <c r="A58" s="1" t="s">
        <v>80</v>
      </c>
      <c r="E58" s="14">
        <f>+E55+E40</f>
        <v>4519510</v>
      </c>
      <c r="F58" s="14">
        <f>+F55+F40</f>
        <v>4994424.75</v>
      </c>
      <c r="G58" s="14">
        <f>+G55+G40</f>
        <v>5635192.5687499996</v>
      </c>
      <c r="H58" s="14">
        <f>+H55+H40</f>
        <v>5919802.3829687499</v>
      </c>
      <c r="I58" s="14">
        <f>+I55+I40</f>
        <v>6270253.5962929688</v>
      </c>
    </row>
    <row r="59" spans="1:9">
      <c r="A59" s="1" t="s">
        <v>110</v>
      </c>
      <c r="E59" s="4">
        <f>E58/($C$9*E57)</f>
        <v>28.750063613231553</v>
      </c>
      <c r="F59" s="4">
        <f t="shared" ref="F59:I59" si="9">F58/($C$9*F57)</f>
        <v>29.105039335664337</v>
      </c>
      <c r="G59" s="4">
        <f t="shared" si="9"/>
        <v>30.296734240591395</v>
      </c>
      <c r="H59" s="4">
        <f t="shared" si="9"/>
        <v>31.826894532090051</v>
      </c>
      <c r="I59" s="4">
        <f t="shared" si="9"/>
        <v>33.711040840284781</v>
      </c>
    </row>
    <row r="61" spans="1:9">
      <c r="A61" s="1" t="s">
        <v>81</v>
      </c>
      <c r="E61" s="1">
        <f>C19*C9*(1+I21/2)</f>
        <v>-2379375</v>
      </c>
      <c r="F61" s="1">
        <f>E61*(1+$I$21)</f>
        <v>-2438859.375</v>
      </c>
      <c r="G61" s="1">
        <f t="shared" ref="G61:I61" si="10">F61*(1+$I$21)</f>
        <v>-2499830.859375</v>
      </c>
      <c r="H61" s="1">
        <f t="shared" si="10"/>
        <v>-2562326.630859375</v>
      </c>
      <c r="I61" s="1">
        <f t="shared" si="10"/>
        <v>-2626384.7966308594</v>
      </c>
    </row>
    <row r="62" spans="1:9">
      <c r="A62" s="1" t="s">
        <v>82</v>
      </c>
      <c r="E62" s="18">
        <f>E61/$C$9</f>
        <v>-11.896875</v>
      </c>
      <c r="F62" s="18">
        <f t="shared" ref="F62:I62" si="11">F61/$C$9</f>
        <v>-12.194296874999999</v>
      </c>
      <c r="G62" s="18">
        <f t="shared" si="11"/>
        <v>-12.499154296875</v>
      </c>
      <c r="H62" s="18">
        <f t="shared" si="11"/>
        <v>-12.811633154296874</v>
      </c>
      <c r="I62" s="18">
        <f t="shared" si="11"/>
        <v>-13.131923983154296</v>
      </c>
    </row>
    <row r="64" spans="1:9" ht="15.75" thickBot="1">
      <c r="A64" s="1" t="s">
        <v>83</v>
      </c>
      <c r="E64" s="19">
        <f>+E58+E61</f>
        <v>2140135</v>
      </c>
      <c r="F64" s="19">
        <f t="shared" ref="F64:I64" si="12">+F58+F61</f>
        <v>2555565.375</v>
      </c>
      <c r="G64" s="19">
        <f t="shared" si="12"/>
        <v>3135361.7093749996</v>
      </c>
      <c r="H64" s="19">
        <f t="shared" si="12"/>
        <v>3357475.7521093749</v>
      </c>
      <c r="I64" s="19">
        <f t="shared" si="12"/>
        <v>3643868.7996621095</v>
      </c>
    </row>
    <row r="65" spans="1:10" ht="15.75" thickTop="1">
      <c r="A65" s="1" t="s">
        <v>84</v>
      </c>
      <c r="E65" s="11">
        <f>E64/$I$8</f>
        <v>5.3503374999999999E-2</v>
      </c>
      <c r="F65" s="11">
        <f t="shared" ref="F65:I65" si="13">F64/$I$8</f>
        <v>6.3889134375000003E-2</v>
      </c>
      <c r="G65" s="11">
        <f t="shared" si="13"/>
        <v>7.8384042734374992E-2</v>
      </c>
      <c r="H65" s="11">
        <f t="shared" si="13"/>
        <v>8.3936893802734378E-2</v>
      </c>
      <c r="I65" s="11">
        <f t="shared" si="13"/>
        <v>9.1096719991552735E-2</v>
      </c>
    </row>
    <row r="67" spans="1:10">
      <c r="A67" s="9" t="s">
        <v>46</v>
      </c>
    </row>
    <row r="68" spans="1:10">
      <c r="A68" s="1" t="s">
        <v>86</v>
      </c>
    </row>
    <row r="69" spans="1:10">
      <c r="A69" s="1" t="s">
        <v>87</v>
      </c>
      <c r="D69" s="1">
        <f>-I8</f>
        <v>-40000000</v>
      </c>
    </row>
    <row r="70" spans="1:10">
      <c r="A70" s="1" t="s">
        <v>88</v>
      </c>
      <c r="D70" s="1">
        <f>+D69*I24</f>
        <v>-400000</v>
      </c>
    </row>
    <row r="71" spans="1:10">
      <c r="A71" s="1" t="s">
        <v>89</v>
      </c>
      <c r="E71" s="1">
        <f>-E$46*$I$25*(1+$I$21)^(E$33-1)-E$47*(1-$D$11)*$I$25*(1+$I$21)^(E33-1)-E$47*$D$11*$I$26*(1+$I$21)^(E33-1)</f>
        <v>-777000</v>
      </c>
      <c r="F71" s="1">
        <f t="shared" ref="F71:I71" si="14">-F46*$I$25*(1+$I$21)^(F33-1)-F47*(1-$D$11)*$I$25*(1+$I$21)^(F33-1)-F47*$D$11*$I$26*(1+$I$21)^(F33-1)</f>
        <v>-1054725</v>
      </c>
      <c r="G71" s="1">
        <f t="shared" si="14"/>
        <v>-1081093.125</v>
      </c>
      <c r="H71" s="1">
        <f t="shared" si="14"/>
        <v>-565367.578125</v>
      </c>
      <c r="I71" s="1">
        <f t="shared" si="14"/>
        <v>-579501.767578125</v>
      </c>
    </row>
    <row r="72" spans="1:10">
      <c r="A72" s="1" t="s">
        <v>90</v>
      </c>
      <c r="E72" s="1">
        <f>-E$46*$I$27*(1+$I$21)^(E$33-1)-E$47*(1-$D$11)*$I$27*(1+$I$21)^(E34-1)-E$47*$D$11*$I$28*(1+$I$21)^(E34-1)</f>
        <v>-194400</v>
      </c>
      <c r="F72" s="1">
        <f t="shared" ref="F72:I72" si="15">-F$46*$I$27*(1+$I$21)^(F$33-1)-F$47*(1-$D$11)*$I$27*(1+$I$21)^(F34-1)-F$47*$D$11*$I$28*(1+$I$21)^(F34-1)</f>
        <v>-249075</v>
      </c>
      <c r="G72" s="1">
        <f t="shared" si="15"/>
        <v>-255301.875</v>
      </c>
      <c r="H72" s="1">
        <f t="shared" si="15"/>
        <v>-157010.65312499998</v>
      </c>
      <c r="I72" s="1">
        <f t="shared" si="15"/>
        <v>-160935.91945312498</v>
      </c>
    </row>
    <row r="73" spans="1:10">
      <c r="A73" s="1" t="s">
        <v>91</v>
      </c>
      <c r="E73" s="1">
        <f>-I29*C9</f>
        <v>-100000</v>
      </c>
      <c r="F73" s="1">
        <f>E73*(1+$I$21)</f>
        <v>-102499.99999999999</v>
      </c>
      <c r="G73" s="1">
        <f t="shared" ref="G73:I73" si="16">F73*(1+$I$21)</f>
        <v>-105062.49999999997</v>
      </c>
      <c r="H73" s="1">
        <f t="shared" si="16"/>
        <v>-107689.06249999996</v>
      </c>
      <c r="I73" s="1">
        <f t="shared" si="16"/>
        <v>-110381.28906249994</v>
      </c>
    </row>
    <row r="74" spans="1:10">
      <c r="A74" s="1" t="s">
        <v>92</v>
      </c>
      <c r="E74" s="14">
        <f>SUM(E71:E73)</f>
        <v>-1071400</v>
      </c>
      <c r="F74" s="14">
        <f t="shared" ref="F74:I74" si="17">SUM(F71:F73)</f>
        <v>-1406300</v>
      </c>
      <c r="G74" s="14">
        <f t="shared" si="17"/>
        <v>-1441457.5</v>
      </c>
      <c r="H74" s="14">
        <f t="shared" si="17"/>
        <v>-830067.29374999995</v>
      </c>
      <c r="I74" s="14">
        <f t="shared" si="17"/>
        <v>-850818.97609374998</v>
      </c>
      <c r="J74" s="5"/>
    </row>
    <row r="75" spans="1:10">
      <c r="A75" s="1" t="s">
        <v>93</v>
      </c>
      <c r="D75" s="1">
        <f>+D69+D70</f>
        <v>-40400000</v>
      </c>
      <c r="E75" s="1">
        <f>+D75+E74</f>
        <v>-41471400</v>
      </c>
      <c r="F75" s="1">
        <f t="shared" ref="F75:I75" si="18">+E75+F74</f>
        <v>-42877700</v>
      </c>
      <c r="G75" s="1">
        <f t="shared" si="18"/>
        <v>-44319157.5</v>
      </c>
      <c r="H75" s="1">
        <f t="shared" si="18"/>
        <v>-45149224.793750003</v>
      </c>
      <c r="I75" s="1">
        <f t="shared" si="18"/>
        <v>-46000043.76984375</v>
      </c>
    </row>
    <row r="76" spans="1:10">
      <c r="A76" s="1" t="s">
        <v>94</v>
      </c>
      <c r="D76" s="20">
        <f>AVERAGE(E76:I76)</f>
        <v>6.7105970986122532E-2</v>
      </c>
      <c r="E76" s="11">
        <f>+E64/-E75</f>
        <v>5.1605082056549817E-2</v>
      </c>
      <c r="F76" s="11">
        <f t="shared" ref="F76:I76" si="19">+F64/-F75</f>
        <v>5.9601270007486412E-2</v>
      </c>
      <c r="G76" s="11">
        <f t="shared" si="19"/>
        <v>7.0745065706066271E-2</v>
      </c>
      <c r="H76" s="11">
        <f t="shared" si="19"/>
        <v>7.4363973411436052E-2</v>
      </c>
      <c r="I76" s="11">
        <f t="shared" si="19"/>
        <v>7.9214463749074093E-2</v>
      </c>
    </row>
    <row r="77" spans="1:10">
      <c r="D77" s="21" t="s">
        <v>103</v>
      </c>
    </row>
    <row r="78" spans="1:10">
      <c r="A78" s="1" t="s">
        <v>101</v>
      </c>
      <c r="E78" s="14">
        <f>+E64+E74</f>
        <v>1068735</v>
      </c>
      <c r="F78" s="14">
        <f t="shared" ref="F78:I78" si="20">+F64+F74</f>
        <v>1149265.375</v>
      </c>
      <c r="G78" s="14">
        <f t="shared" si="20"/>
        <v>1693904.2093749996</v>
      </c>
      <c r="H78" s="14">
        <f t="shared" si="20"/>
        <v>2527408.4583593747</v>
      </c>
      <c r="I78" s="14">
        <f t="shared" si="20"/>
        <v>2793049.8235683595</v>
      </c>
    </row>
    <row r="79" spans="1:10">
      <c r="A79" s="1" t="s">
        <v>95</v>
      </c>
    </row>
    <row r="80" spans="1:10">
      <c r="A80" s="1" t="s">
        <v>96</v>
      </c>
      <c r="I80" s="1">
        <f>+I64</f>
        <v>3643868.7996621095</v>
      </c>
    </row>
    <row r="81" spans="1:9">
      <c r="A81" s="1" t="s">
        <v>97</v>
      </c>
      <c r="I81" s="15">
        <v>7.0000000000000007E-2</v>
      </c>
    </row>
    <row r="82" spans="1:9">
      <c r="A82" s="1" t="s">
        <v>98</v>
      </c>
      <c r="C82" s="1">
        <f>I82/C9</f>
        <v>260.27634283300779</v>
      </c>
      <c r="D82" s="1" t="s">
        <v>51</v>
      </c>
      <c r="I82" s="1">
        <f>I80/I81</f>
        <v>52055268.56660156</v>
      </c>
    </row>
    <row r="83" spans="1:9">
      <c r="A83" s="1" t="s">
        <v>99</v>
      </c>
      <c r="C83" s="15">
        <v>1.4999999999999999E-2</v>
      </c>
      <c r="D83" s="1" t="s">
        <v>100</v>
      </c>
      <c r="I83" s="1">
        <f>I82*(1-C83)</f>
        <v>51274439.538102537</v>
      </c>
    </row>
    <row r="85" spans="1:9">
      <c r="A85" s="22" t="s">
        <v>105</v>
      </c>
      <c r="B85" s="23">
        <f>SUM(D85:I85)</f>
        <v>20106802.404405273</v>
      </c>
      <c r="C85" s="23"/>
      <c r="D85" s="23">
        <f>+D75</f>
        <v>-40400000</v>
      </c>
      <c r="E85" s="23">
        <f>+E78</f>
        <v>1068735</v>
      </c>
      <c r="F85" s="23">
        <f t="shared" ref="F85:H85" si="21">+F78</f>
        <v>1149265.375</v>
      </c>
      <c r="G85" s="23">
        <f t="shared" si="21"/>
        <v>1693904.2093749996</v>
      </c>
      <c r="H85" s="23">
        <f t="shared" si="21"/>
        <v>2527408.4583593747</v>
      </c>
      <c r="I85" s="24">
        <f>+I78+I83</f>
        <v>54067489.361670896</v>
      </c>
    </row>
    <row r="86" spans="1:9">
      <c r="A86" s="25" t="s">
        <v>106</v>
      </c>
      <c r="B86" s="26">
        <f>1+B85/-D85</f>
        <v>1.4976931288219126</v>
      </c>
      <c r="C86" s="27">
        <f>IRR(D85:I85,0.1)</f>
        <v>8.8776995369972134E-2</v>
      </c>
      <c r="D86" s="29" t="s">
        <v>111</v>
      </c>
      <c r="E86" s="27">
        <f>E85/-$D$85</f>
        <v>2.6453836633663366E-2</v>
      </c>
      <c r="F86" s="27">
        <f t="shared" ref="F86:H86" si="22">F85/-$D$85</f>
        <v>2.8447162747524752E-2</v>
      </c>
      <c r="G86" s="27">
        <f t="shared" si="22"/>
        <v>4.1928322014232661E-2</v>
      </c>
      <c r="H86" s="27">
        <f t="shared" si="22"/>
        <v>6.2559615305925118E-2</v>
      </c>
      <c r="I86" s="28"/>
    </row>
  </sheetData>
  <pageMargins left="0.7" right="0.7" top="0.22" bottom="0.25" header="0.19" footer="0.19"/>
  <pageSetup scale="70" orientation="landscape" horizontalDpi="300" verticalDpi="30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Buchanan Street partners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bobdoc</cp:lastModifiedBy>
  <cp:lastPrinted>2011-01-31T22:18:30Z</cp:lastPrinted>
  <dcterms:created xsi:type="dcterms:W3CDTF">2011-01-31T17:00:12Z</dcterms:created>
  <dcterms:modified xsi:type="dcterms:W3CDTF">2011-02-03T14:40:57Z</dcterms:modified>
</cp:coreProperties>
</file>